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015" firstSheet="1" activeTab="1"/>
  </bookViews>
  <sheets>
    <sheet name="Φύλλο1" sheetId="1" state="hidden" r:id="rId1"/>
    <sheet name="ΣΣΕ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/>
  <c r="B29" i="4"/>
  <c r="B40"/>
  <c r="C40" s="1"/>
  <c r="B39"/>
  <c r="C39" s="1"/>
  <c r="B38"/>
  <c r="C38" s="1"/>
  <c r="B37"/>
  <c r="B4"/>
  <c r="B11" s="1"/>
  <c r="C24"/>
  <c r="C55"/>
  <c r="B48" l="1"/>
  <c r="C46"/>
  <c r="C37"/>
  <c r="C42"/>
  <c r="C41"/>
  <c r="C36"/>
  <c r="C35"/>
  <c r="C34"/>
  <c r="C33"/>
  <c r="C32"/>
  <c r="C54" l="1"/>
  <c r="C43"/>
  <c r="C49"/>
  <c r="C50"/>
  <c r="C14"/>
  <c r="C26" s="1"/>
  <c r="D37" i="1"/>
  <c r="C37"/>
  <c r="D41"/>
  <c r="C41"/>
  <c r="D40"/>
  <c r="C40"/>
  <c r="D39"/>
  <c r="C39"/>
  <c r="D38"/>
  <c r="C38"/>
  <c r="C20" i="4" l="1"/>
  <c r="C51"/>
  <c r="C17"/>
  <c r="C18"/>
  <c r="C19"/>
  <c r="B44" i="1"/>
  <c r="T11"/>
  <c r="S13"/>
  <c r="S12"/>
  <c r="S11"/>
  <c r="H13"/>
  <c r="H12"/>
  <c r="H11"/>
  <c r="C21" i="4" l="1"/>
  <c r="P4" i="1"/>
  <c r="P5"/>
  <c r="P6"/>
  <c r="P7"/>
  <c r="P8"/>
  <c r="P9"/>
  <c r="P10"/>
  <c r="P11"/>
  <c r="P12"/>
  <c r="P13"/>
  <c r="O4"/>
  <c r="O5"/>
  <c r="O6"/>
  <c r="O7"/>
  <c r="O8"/>
  <c r="O9"/>
  <c r="O10"/>
  <c r="O11"/>
  <c r="O12"/>
  <c r="O13"/>
  <c r="P3"/>
  <c r="O3"/>
  <c r="W4"/>
  <c r="W5"/>
  <c r="W6"/>
  <c r="W7"/>
  <c r="W8"/>
  <c r="W9"/>
  <c r="W10"/>
  <c r="W11"/>
  <c r="W12"/>
  <c r="W13"/>
  <c r="W3"/>
  <c r="U4"/>
  <c r="U5"/>
  <c r="U6"/>
  <c r="U7"/>
  <c r="U8"/>
  <c r="U9"/>
  <c r="U10"/>
  <c r="U11"/>
  <c r="U12"/>
  <c r="U13"/>
  <c r="T4"/>
  <c r="T5"/>
  <c r="T6"/>
  <c r="T7"/>
  <c r="T8"/>
  <c r="T9"/>
  <c r="T10"/>
  <c r="T12"/>
  <c r="T13"/>
  <c r="U3"/>
  <c r="T3"/>
  <c r="S4"/>
  <c r="S5"/>
  <c r="S6"/>
  <c r="S7"/>
  <c r="S8"/>
  <c r="S9"/>
  <c r="S10"/>
  <c r="S3"/>
  <c r="Q4"/>
  <c r="Q5"/>
  <c r="Q6"/>
  <c r="Q7"/>
  <c r="Q8"/>
  <c r="Q9"/>
  <c r="C45" i="4" s="1"/>
  <c r="C47" s="1"/>
  <c r="Q10" i="1"/>
  <c r="Q11"/>
  <c r="Q12"/>
  <c r="Q13"/>
  <c r="Q3"/>
  <c r="N4"/>
  <c r="N5"/>
  <c r="N6"/>
  <c r="N7"/>
  <c r="N8"/>
  <c r="N9"/>
  <c r="N10"/>
  <c r="N11"/>
  <c r="N12"/>
  <c r="N13"/>
  <c r="M4"/>
  <c r="M5"/>
  <c r="M6"/>
  <c r="M7"/>
  <c r="M8"/>
  <c r="M9"/>
  <c r="M10"/>
  <c r="M11"/>
  <c r="M12"/>
  <c r="M13"/>
  <c r="L4"/>
  <c r="L5"/>
  <c r="L6"/>
  <c r="L7"/>
  <c r="L8"/>
  <c r="L9"/>
  <c r="L10"/>
  <c r="L11"/>
  <c r="L12"/>
  <c r="L13"/>
  <c r="K4"/>
  <c r="K5"/>
  <c r="K6"/>
  <c r="K7"/>
  <c r="K8"/>
  <c r="K9"/>
  <c r="K10"/>
  <c r="K11"/>
  <c r="K12"/>
  <c r="K13"/>
  <c r="N3"/>
  <c r="M3"/>
  <c r="L3"/>
  <c r="K3"/>
  <c r="J4"/>
  <c r="J5"/>
  <c r="J6"/>
  <c r="J7"/>
  <c r="J8"/>
  <c r="J9"/>
  <c r="J10"/>
  <c r="J11"/>
  <c r="J12"/>
  <c r="J13"/>
  <c r="J3"/>
  <c r="I4"/>
  <c r="I5"/>
  <c r="I6"/>
  <c r="I7"/>
  <c r="I8"/>
  <c r="I9"/>
  <c r="I10"/>
  <c r="I11"/>
  <c r="I12"/>
  <c r="I13"/>
  <c r="I3"/>
  <c r="E10"/>
  <c r="D8"/>
  <c r="D9"/>
  <c r="D10"/>
  <c r="C8"/>
  <c r="C9"/>
  <c r="C10"/>
  <c r="C7"/>
  <c r="F10"/>
  <c r="E9"/>
  <c r="D7"/>
  <c r="C6"/>
  <c r="H10"/>
  <c r="H9"/>
  <c r="H8"/>
  <c r="H7"/>
  <c r="H6"/>
  <c r="H5"/>
  <c r="H4"/>
  <c r="C53" i="4" l="1"/>
  <c r="C56" l="1"/>
  <c r="C58" l="1"/>
  <c r="C60" s="1"/>
  <c r="C62" s="1"/>
  <c r="C64" s="1"/>
  <c r="C66" l="1"/>
</calcChain>
</file>

<file path=xl/sharedStrings.xml><?xml version="1.0" encoding="utf-8"?>
<sst xmlns="http://schemas.openxmlformats.org/spreadsheetml/2006/main" count="128" uniqueCount="95">
  <si>
    <t>Κλιμάκιο</t>
  </si>
  <si>
    <t>Πτυχίο ΤΕΙ</t>
  </si>
  <si>
    <t>Πτυχίο ΑΕΙ</t>
  </si>
  <si>
    <t>Μεταπτυχιακό</t>
  </si>
  <si>
    <t>Βασικός</t>
  </si>
  <si>
    <t>Επίδομα πολυετίας</t>
  </si>
  <si>
    <t>Συζύγου</t>
  </si>
  <si>
    <t>1ου τέκνου</t>
  </si>
  <si>
    <t>2ου τέκνου</t>
  </si>
  <si>
    <t>3ου τέκνου</t>
  </si>
  <si>
    <t>4ου τέκνου</t>
  </si>
  <si>
    <t>Παιδικής μέριμνας</t>
  </si>
  <si>
    <t>Τέκνου ειδικών αναγκών</t>
  </si>
  <si>
    <t>Μέλους ειδικών αναγκών</t>
  </si>
  <si>
    <t>Ξένης γλώσσας</t>
  </si>
  <si>
    <t>Κολλεγίου</t>
  </si>
  <si>
    <t>Ταμείου</t>
  </si>
  <si>
    <t xml:space="preserve">Αναλογιστή </t>
  </si>
  <si>
    <t>Επιπλέον δίνονται οι πιο κάτω παροχές:</t>
  </si>
  <si>
    <t>Τοκετού: 1560 €</t>
  </si>
  <si>
    <t>Κατασκηνωτικό: 810€</t>
  </si>
  <si>
    <t>Το επίδομα παιδικής μέριμνας υπολογίζεται στο 16ο κλιμάκιο, δηλ. στα 1.160 €</t>
  </si>
  <si>
    <t>Τα επιδόματα συζύγου, τέκνων και μέλους ειδικών αναγκών υπολογίζονται στο 24 κλιμάκιο, δηλ. στα 1.232 €</t>
  </si>
  <si>
    <t>Διατακτικές σίτισης: 30 €/μήνα</t>
  </si>
  <si>
    <t>Σύνολο μισθού</t>
  </si>
  <si>
    <t>Διδακτορικό</t>
  </si>
  <si>
    <t>8% ΒΜ</t>
  </si>
  <si>
    <t>10% ΒΜ</t>
  </si>
  <si>
    <t>5% ΒΜ</t>
  </si>
  <si>
    <t>12% ΒΜ</t>
  </si>
  <si>
    <t>Για πτυχίο ΤΕΙ - ΑΤΕΙ υπολογίζουμε τον βασικό μισθό του 3ου κλιμακίου. Για πτυχίο ΑΕΙ του 4ου κλιμακίου. Για Master επιπλέον δυο κλιμάκια. Για Διδακτορικό επιπλέον 3 κλιμάκια. Η πολυετία υπολογίζεται σύμφωνα με τα χρόνια στην εταιρία ενοικίασης μέχρι όμως το 2012. Ο χρόνος στρατιωτικής υπηρεσίας υπολογίζεται για το επίδομα πολυετίας.</t>
  </si>
  <si>
    <t>Βρεφονηπιακού σταθμού: Εως 250 €/μήνα με προσκόμιση αποδείξεων</t>
  </si>
  <si>
    <t>16% ΒΜ</t>
  </si>
  <si>
    <t>25% ΒΜ</t>
  </si>
  <si>
    <t>1,75% για κάθε χρόνο</t>
  </si>
  <si>
    <t>10% στο 24o κλιμάκιο</t>
  </si>
  <si>
    <t>5% στο 24o κλιμάκιο</t>
  </si>
  <si>
    <t>7,5% στο 24o κλιμάκιο</t>
  </si>
  <si>
    <t>15% στο 24o κλιμάκιο</t>
  </si>
  <si>
    <t>6% στο 16ο κλιμάκιο</t>
  </si>
  <si>
    <t>12% στο 24o κλιμάκιο</t>
  </si>
  <si>
    <t>Πλέον 5% του Μεταπτυχιακού</t>
  </si>
  <si>
    <t>Πλέον 10% του πτυχίου</t>
  </si>
  <si>
    <t>Ανθυγιεινό επίδομα *</t>
  </si>
  <si>
    <t>* Μόνο οι εργαζόμενοι στον Γέρακα</t>
  </si>
  <si>
    <t>Επίδομα ΕΙΑΣ/ΔΑΣ *</t>
  </si>
  <si>
    <t>* Μόνο αν δεν υπάρχει πτυχίο ΤΕΙ ή ΑΕΙ</t>
  </si>
  <si>
    <t xml:space="preserve">* Επίδομα CII </t>
  </si>
  <si>
    <t>Αν υπάρχει ήδη ΕΙΑΣ ή ΔΑΣ συμψηφίζεται</t>
  </si>
  <si>
    <t>** Ανάλογα το κλιμάκιο</t>
  </si>
  <si>
    <t>Κλιμάκιο 4-5: 140€</t>
  </si>
  <si>
    <t>Κλιμάκιο 6: 160€</t>
  </si>
  <si>
    <t>Κλιμάκιο 7: 160€</t>
  </si>
  <si>
    <t>*Κλιμάκιο 2-3: 120€</t>
  </si>
  <si>
    <t>Επίδομα Ιεράρχησης *</t>
  </si>
  <si>
    <t>ΝΑΙ</t>
  </si>
  <si>
    <t>Βασικός Κλιμακίου</t>
  </si>
  <si>
    <t>Επίδομα Ιεράρχησης</t>
  </si>
  <si>
    <t>Κλιμάκιο Ένταξης</t>
  </si>
  <si>
    <t>Πτυχίο ΤΕΙ/ΑΕΙ/Master/Διδακτορικό</t>
  </si>
  <si>
    <t>Συμπληρώνεται το ανώτατο επίπεδο εκπαίδευσης που υπάρχει</t>
  </si>
  <si>
    <t>Κρατήσεις (περίπου 35%)</t>
  </si>
  <si>
    <t>Καθαρός Μισθός</t>
  </si>
  <si>
    <t>Επιπλέον προώθηση κλιμακίων</t>
  </si>
  <si>
    <t>Επιδόματα σπουδών</t>
  </si>
  <si>
    <t>Μισθολογικό Κλιμάκιο</t>
  </si>
  <si>
    <t>Επιλέξτε</t>
  </si>
  <si>
    <t>Ημερομηνία Πρόσληψης στην Εθνική</t>
  </si>
  <si>
    <t>Έως το 2012</t>
  </si>
  <si>
    <t>Χρόνια για το επίδομα πολυετίας</t>
  </si>
  <si>
    <t>Μόνο αν δεν υπάρχει πτυχίο ΤΕΙ ή ΑΕΙ</t>
  </si>
  <si>
    <t>Ιεράρχηση</t>
  </si>
  <si>
    <t>Απολυτήριο Λυκείου</t>
  </si>
  <si>
    <t>Καύσιμα μηνιαία</t>
  </si>
  <si>
    <t>Τελικό Σύνολο μισθού</t>
  </si>
  <si>
    <t>Κρατήσεις</t>
  </si>
  <si>
    <t>Παιδικής μέριμνας 1ου τέκνου</t>
  </si>
  <si>
    <t>Παιδικής μέριμνας 2ου τέκνου</t>
  </si>
  <si>
    <t>Παιδικής μέριμνας 3ου τέκνου</t>
  </si>
  <si>
    <t>Παιδικής μέριμνας 4ου τέκνου</t>
  </si>
  <si>
    <t>1ου τέκνου (Μέχρι 21 ετών ή 25 αν φοιτά)</t>
  </si>
  <si>
    <t>2ου τέκνου (Μέχρι 21 ετών ή 25 αν φοιτά)</t>
  </si>
  <si>
    <t>3ου τέκνου (Μέχρι 21 ετών ή 25 αν φοιτά)</t>
  </si>
  <si>
    <t>4ου τέκνου (Μέχρι 21 ετών ή 25 αν φοιτά)</t>
  </si>
  <si>
    <t>Ανθυγιεινό επίδομα (εργαζόμενοι στον Γέρακα)</t>
  </si>
  <si>
    <t>ΦΜΥ: Ανάλογα με το συνολικό εισόδημα</t>
  </si>
  <si>
    <t>ΙΚΑ Σύνταξη: 6,67% στις τακτικές και έκτακτες αποδοχές</t>
  </si>
  <si>
    <t>ΙΚΑ Συνεισπραττόμενα: 1,65% στις τακτικές και έκτακτες αποδοχές</t>
  </si>
  <si>
    <t>ΤΑΥΤΕΚΩ σε είδος και χρήμα: 2,55% στις τακτικές και έκτακτες αποδοχές</t>
  </si>
  <si>
    <t>ΤΕΑΕΠΑΕ: 3% στις τακτικές αποδοχές</t>
  </si>
  <si>
    <t>Ομαδικό υγείας: 3,501% στις τακτικές αποδοχές</t>
  </si>
  <si>
    <t>Ομαδικό υγείας εξαρτώμενων: 0,775% για ένα και 1,55% για 2 και πάνω με ανώτερο πλαφόν τα 2.000€</t>
  </si>
  <si>
    <t>Ομαδικό αποταμιευτικό: 3,5% επί των τακτικών αποδοχών</t>
  </si>
  <si>
    <t>Σύλλογος: 0,5% στις τακτικές αποδοχές</t>
  </si>
  <si>
    <t>Επίδομα CII *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</si>
</sst>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.00\ &quot;€&quot;"/>
  </numFmts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2" borderId="0" xfId="0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14" fontId="0" fillId="2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Border="1" applyProtection="1"/>
    <xf numFmtId="164" fontId="1" fillId="3" borderId="0" xfId="0" applyNumberFormat="1" applyFont="1" applyFill="1" applyProtection="1"/>
    <xf numFmtId="164" fontId="0" fillId="0" borderId="0" xfId="0" applyNumberFormat="1" applyProtection="1"/>
    <xf numFmtId="164" fontId="1" fillId="3" borderId="0" xfId="0" applyNumberFormat="1" applyFont="1" applyFill="1" applyBorder="1" applyProtection="1"/>
    <xf numFmtId="164" fontId="0" fillId="0" borderId="0" xfId="0" applyNumberFormat="1" applyBorder="1" applyProtection="1"/>
    <xf numFmtId="164" fontId="0" fillId="0" borderId="0" xfId="0" applyNumberFormat="1" applyFill="1" applyBorder="1" applyProtection="1"/>
    <xf numFmtId="164" fontId="1" fillId="0" borderId="0" xfId="0" applyNumberFormat="1" applyFont="1" applyBorder="1" applyProtection="1"/>
    <xf numFmtId="9" fontId="0" fillId="0" borderId="0" xfId="1" applyFont="1" applyProtection="1"/>
    <xf numFmtId="0" fontId="0" fillId="0" borderId="0" xfId="0" applyFill="1" applyProtection="1"/>
    <xf numFmtId="0" fontId="1" fillId="0" borderId="0" xfId="0" applyFont="1" applyBorder="1" applyProtection="1"/>
    <xf numFmtId="1" fontId="0" fillId="0" borderId="0" xfId="0" applyNumberFormat="1" applyProtection="1"/>
    <xf numFmtId="14" fontId="0" fillId="0" borderId="0" xfId="0" applyNumberFormat="1" applyProtection="1"/>
    <xf numFmtId="0" fontId="0" fillId="0" borderId="0" xfId="0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4" xfId="0" applyFill="1" applyBorder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2" fontId="0" fillId="0" borderId="0" xfId="0" applyNumberFormat="1" applyBorder="1" applyProtection="1">
      <protection hidden="1"/>
    </xf>
    <xf numFmtId="1" fontId="0" fillId="0" borderId="0" xfId="0" applyNumberFormat="1" applyBorder="1" applyProtection="1">
      <protection hidden="1"/>
    </xf>
    <xf numFmtId="2" fontId="0" fillId="0" borderId="2" xfId="0" applyNumberFormat="1" applyBorder="1" applyProtection="1">
      <protection hidden="1"/>
    </xf>
    <xf numFmtId="2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6" fontId="0" fillId="0" borderId="1" xfId="0" applyNumberFormat="1" applyBorder="1" applyProtection="1">
      <protection hidden="1"/>
    </xf>
    <xf numFmtId="1" fontId="0" fillId="0" borderId="1" xfId="0" applyNumberFormat="1" applyBorder="1" applyProtection="1">
      <protection hidden="1"/>
    </xf>
    <xf numFmtId="9" fontId="0" fillId="0" borderId="0" xfId="0" applyNumberFormat="1" applyBorder="1" applyAlignment="1" applyProtection="1">
      <alignment horizontal="center" wrapText="1"/>
      <protection hidden="1"/>
    </xf>
    <xf numFmtId="10" fontId="0" fillId="0" borderId="0" xfId="0" applyNumberFormat="1" applyAlignment="1" applyProtection="1">
      <alignment horizontal="center" wrapText="1"/>
      <protection hidden="1"/>
    </xf>
    <xf numFmtId="9" fontId="0" fillId="0" borderId="0" xfId="0" applyNumberForma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6" fontId="0" fillId="0" borderId="0" xfId="0" applyNumberFormat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164" fontId="0" fillId="0" borderId="0" xfId="0" applyNumberFormat="1" applyBorder="1" applyProtection="1">
      <protection hidden="1"/>
    </xf>
    <xf numFmtId="0" fontId="0" fillId="0" borderId="0" xfId="0" applyFill="1" applyBorder="1" applyProtection="1"/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Fill="1" applyBorder="1" applyAlignment="1" applyProtection="1">
      <protection hidden="1"/>
    </xf>
    <xf numFmtId="0" fontId="1" fillId="0" borderId="0" xfId="0" applyFont="1" applyBorder="1" applyAlignment="1" applyProtection="1">
      <alignment wrapText="1"/>
      <protection hidden="1"/>
    </xf>
  </cellXfs>
  <cellStyles count="2">
    <cellStyle name="Κανονικό" xfId="0" builtinId="0"/>
    <cellStyle name="Ποσοστό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4"/>
  <sheetViews>
    <sheetView zoomScale="85" zoomScaleNormal="85" workbookViewId="0">
      <selection activeCell="F5" sqref="F5"/>
    </sheetView>
  </sheetViews>
  <sheetFormatPr defaultRowHeight="15"/>
  <cols>
    <col min="1" max="1" width="36.42578125" style="33" customWidth="1"/>
    <col min="2" max="2" width="10.28515625" style="33" bestFit="1" customWidth="1"/>
    <col min="3" max="3" width="12.42578125" style="33" customWidth="1"/>
    <col min="4" max="4" width="11.7109375" style="33" customWidth="1"/>
    <col min="5" max="5" width="17.5703125" style="33" customWidth="1"/>
    <col min="6" max="6" width="14.85546875" style="33" customWidth="1"/>
    <col min="7" max="7" width="11.85546875" style="33" customWidth="1"/>
    <col min="8" max="8" width="10.28515625" style="33" customWidth="1"/>
    <col min="9" max="9" width="9.42578125" style="33" customWidth="1"/>
    <col min="10" max="10" width="9" style="33" customWidth="1"/>
    <col min="11" max="11" width="11" style="33" customWidth="1"/>
    <col min="12" max="12" width="11.140625" style="33" customWidth="1"/>
    <col min="13" max="13" width="10.85546875" style="33" customWidth="1"/>
    <col min="14" max="14" width="9.5703125" style="33" customWidth="1"/>
    <col min="15" max="15" width="9.28515625" style="33" customWidth="1"/>
    <col min="16" max="16" width="11" style="33" customWidth="1"/>
    <col min="17" max="17" width="9.140625" style="33"/>
    <col min="18" max="18" width="10" style="33" customWidth="1"/>
    <col min="19" max="22" width="9.140625" style="33"/>
    <col min="23" max="23" width="10.5703125" style="33" customWidth="1"/>
    <col min="24" max="24" width="15.140625" style="33" customWidth="1"/>
    <col min="25" max="29" width="9.140625" style="33"/>
    <col min="30" max="30" width="10.28515625" style="33" customWidth="1"/>
    <col min="31" max="16384" width="9.140625" style="33"/>
  </cols>
  <sheetData>
    <row r="1" spans="1:31">
      <c r="A1" s="33">
        <v>1</v>
      </c>
      <c r="B1" s="33">
        <v>2</v>
      </c>
      <c r="C1" s="33">
        <v>3</v>
      </c>
      <c r="D1" s="33">
        <v>4</v>
      </c>
      <c r="E1" s="33">
        <v>5</v>
      </c>
      <c r="F1" s="33">
        <v>6</v>
      </c>
      <c r="G1" s="33">
        <v>7</v>
      </c>
      <c r="H1" s="33">
        <v>8</v>
      </c>
      <c r="I1" s="33">
        <v>9</v>
      </c>
      <c r="J1" s="33">
        <v>10</v>
      </c>
      <c r="K1" s="33">
        <v>11</v>
      </c>
      <c r="L1" s="33">
        <v>12</v>
      </c>
      <c r="M1" s="33">
        <v>13</v>
      </c>
      <c r="N1" s="33">
        <v>14</v>
      </c>
      <c r="O1" s="33">
        <v>15</v>
      </c>
      <c r="P1" s="33">
        <v>16</v>
      </c>
      <c r="Q1" s="33">
        <v>17</v>
      </c>
      <c r="R1" s="33">
        <v>18</v>
      </c>
      <c r="S1" s="33">
        <v>19</v>
      </c>
      <c r="T1" s="33">
        <v>20</v>
      </c>
      <c r="U1" s="33">
        <v>21</v>
      </c>
      <c r="V1" s="33">
        <v>22</v>
      </c>
      <c r="W1" s="33">
        <v>23</v>
      </c>
    </row>
    <row r="2" spans="1:31" ht="39.75" customHeight="1">
      <c r="A2" s="34" t="s">
        <v>0</v>
      </c>
      <c r="B2" s="34" t="s">
        <v>4</v>
      </c>
      <c r="C2" s="34" t="s">
        <v>1</v>
      </c>
      <c r="D2" s="34" t="s">
        <v>2</v>
      </c>
      <c r="E2" s="34" t="s">
        <v>3</v>
      </c>
      <c r="F2" s="34" t="s">
        <v>25</v>
      </c>
      <c r="G2" s="34" t="s">
        <v>54</v>
      </c>
      <c r="H2" s="34" t="s">
        <v>5</v>
      </c>
      <c r="I2" s="34" t="s">
        <v>6</v>
      </c>
      <c r="J2" s="34" t="s">
        <v>7</v>
      </c>
      <c r="K2" s="35" t="s">
        <v>8</v>
      </c>
      <c r="L2" s="36" t="s">
        <v>9</v>
      </c>
      <c r="M2" s="36" t="s">
        <v>10</v>
      </c>
      <c r="N2" s="36" t="s">
        <v>11</v>
      </c>
      <c r="O2" s="36" t="s">
        <v>12</v>
      </c>
      <c r="P2" s="36" t="s">
        <v>13</v>
      </c>
      <c r="Q2" s="36" t="s">
        <v>14</v>
      </c>
      <c r="R2" s="36" t="s">
        <v>15</v>
      </c>
      <c r="S2" s="36" t="s">
        <v>45</v>
      </c>
      <c r="T2" s="36" t="s">
        <v>47</v>
      </c>
      <c r="U2" s="36" t="s">
        <v>16</v>
      </c>
      <c r="V2" s="36" t="s">
        <v>17</v>
      </c>
      <c r="W2" s="36" t="s">
        <v>43</v>
      </c>
      <c r="X2" s="37" t="s">
        <v>71</v>
      </c>
      <c r="Y2" s="38"/>
      <c r="AD2" s="57" t="s">
        <v>5</v>
      </c>
    </row>
    <row r="3" spans="1:31">
      <c r="A3" s="39">
        <v>0</v>
      </c>
      <c r="B3" s="39">
        <v>1056</v>
      </c>
      <c r="C3" s="40">
        <v>0</v>
      </c>
      <c r="D3" s="40">
        <v>0</v>
      </c>
      <c r="E3" s="40">
        <v>0</v>
      </c>
      <c r="F3" s="40">
        <v>0</v>
      </c>
      <c r="G3" s="39">
        <v>0</v>
      </c>
      <c r="H3" s="40">
        <f>(B3*1.75%)</f>
        <v>18.48</v>
      </c>
      <c r="I3" s="41">
        <f>(1232*10%)</f>
        <v>123.2</v>
      </c>
      <c r="J3" s="41">
        <f>(1232*5%)</f>
        <v>61.6</v>
      </c>
      <c r="K3" s="42">
        <f>(1232*7.5%)</f>
        <v>92.399999999999991</v>
      </c>
      <c r="L3" s="43">
        <f>(1232*10%)</f>
        <v>123.2</v>
      </c>
      <c r="M3" s="43">
        <f>(1232*15%)</f>
        <v>184.79999999999998</v>
      </c>
      <c r="N3" s="43">
        <f>(1160*6%)</f>
        <v>69.599999999999994</v>
      </c>
      <c r="O3" s="44">
        <f>(1232*12%)</f>
        <v>147.84</v>
      </c>
      <c r="P3" s="44">
        <f>(1232*12%)</f>
        <v>147.84</v>
      </c>
      <c r="Q3" s="43">
        <f>(B3*8%)</f>
        <v>84.48</v>
      </c>
      <c r="R3" s="45">
        <v>100</v>
      </c>
      <c r="S3" s="43">
        <f>(B3*8%)</f>
        <v>84.48</v>
      </c>
      <c r="T3" s="43">
        <f>(B3*10%)</f>
        <v>105.60000000000001</v>
      </c>
      <c r="U3" s="46">
        <f>(B3*5%)</f>
        <v>52.800000000000004</v>
      </c>
      <c r="V3" s="45">
        <v>870</v>
      </c>
      <c r="W3" s="46">
        <f>(B3*12%)</f>
        <v>126.72</v>
      </c>
      <c r="X3" s="39" t="s">
        <v>72</v>
      </c>
      <c r="Y3" s="33">
        <v>2</v>
      </c>
      <c r="Z3" s="33">
        <v>120</v>
      </c>
      <c r="AC3" s="33">
        <v>0</v>
      </c>
      <c r="AD3" s="33">
        <v>0</v>
      </c>
      <c r="AE3" s="33">
        <v>0</v>
      </c>
    </row>
    <row r="4" spans="1:31">
      <c r="A4" s="39">
        <v>1</v>
      </c>
      <c r="B4" s="39">
        <v>1059</v>
      </c>
      <c r="C4" s="40">
        <v>0</v>
      </c>
      <c r="D4" s="40">
        <v>0</v>
      </c>
      <c r="E4" s="40">
        <v>0</v>
      </c>
      <c r="F4" s="40">
        <v>0</v>
      </c>
      <c r="G4" s="39">
        <v>0</v>
      </c>
      <c r="H4" s="40">
        <f>(1059*3%)</f>
        <v>31.77</v>
      </c>
      <c r="I4" s="41">
        <f t="shared" ref="I4:I13" si="0">(1232*10%)</f>
        <v>123.2</v>
      </c>
      <c r="J4" s="41">
        <f t="shared" ref="J4:J13" si="1">(1232*5%)</f>
        <v>61.6</v>
      </c>
      <c r="K4" s="42">
        <f t="shared" ref="K4:K13" si="2">(1232*7.5%)</f>
        <v>92.399999999999991</v>
      </c>
      <c r="L4" s="43">
        <f t="shared" ref="L4:L13" si="3">(1232*10%)</f>
        <v>123.2</v>
      </c>
      <c r="M4" s="43">
        <f t="shared" ref="M4:M13" si="4">(1232*15%)</f>
        <v>184.79999999999998</v>
      </c>
      <c r="N4" s="43">
        <f t="shared" ref="N4:N13" si="5">(1160*6%)</f>
        <v>69.599999999999994</v>
      </c>
      <c r="O4" s="44">
        <f t="shared" ref="O4:P13" si="6">(1232*12%)</f>
        <v>147.84</v>
      </c>
      <c r="P4" s="44">
        <f t="shared" si="6"/>
        <v>147.84</v>
      </c>
      <c r="Q4" s="43">
        <f t="shared" ref="Q4:Q13" si="7">(B4*8%)</f>
        <v>84.72</v>
      </c>
      <c r="R4" s="45">
        <v>100</v>
      </c>
      <c r="S4" s="43">
        <f t="shared" ref="S4:S10" si="8">(B4*8%)</f>
        <v>84.72</v>
      </c>
      <c r="T4" s="43">
        <f t="shared" ref="T4:T13" si="9">(B4*10%)</f>
        <v>105.9</v>
      </c>
      <c r="U4" s="46">
        <f t="shared" ref="U4:U13" si="10">(B4*5%)</f>
        <v>52.95</v>
      </c>
      <c r="V4" s="45">
        <v>870</v>
      </c>
      <c r="W4" s="46">
        <f t="shared" ref="W4:W13" si="11">(B4*12%)</f>
        <v>127.08</v>
      </c>
      <c r="X4" s="39" t="s">
        <v>25</v>
      </c>
      <c r="Y4" s="33">
        <v>6</v>
      </c>
      <c r="Z4" s="33">
        <v>160</v>
      </c>
      <c r="AC4" s="33">
        <v>1</v>
      </c>
      <c r="AE4" s="57">
        <v>18.48</v>
      </c>
    </row>
    <row r="5" spans="1:31">
      <c r="A5" s="39">
        <v>2</v>
      </c>
      <c r="B5" s="39">
        <v>1063</v>
      </c>
      <c r="C5" s="40">
        <v>0</v>
      </c>
      <c r="D5" s="40">
        <v>0</v>
      </c>
      <c r="E5" s="40">
        <v>0</v>
      </c>
      <c r="F5" s="40">
        <v>0</v>
      </c>
      <c r="G5" s="39">
        <v>120</v>
      </c>
      <c r="H5" s="40">
        <f>(B5*5.25%)</f>
        <v>55.807499999999997</v>
      </c>
      <c r="I5" s="41">
        <f t="shared" si="0"/>
        <v>123.2</v>
      </c>
      <c r="J5" s="41">
        <f t="shared" si="1"/>
        <v>61.6</v>
      </c>
      <c r="K5" s="42">
        <f t="shared" si="2"/>
        <v>92.399999999999991</v>
      </c>
      <c r="L5" s="43">
        <f t="shared" si="3"/>
        <v>123.2</v>
      </c>
      <c r="M5" s="43">
        <f t="shared" si="4"/>
        <v>184.79999999999998</v>
      </c>
      <c r="N5" s="43">
        <f t="shared" si="5"/>
        <v>69.599999999999994</v>
      </c>
      <c r="O5" s="44">
        <f t="shared" si="6"/>
        <v>147.84</v>
      </c>
      <c r="P5" s="44">
        <f t="shared" si="6"/>
        <v>147.84</v>
      </c>
      <c r="Q5" s="43">
        <f t="shared" si="7"/>
        <v>85.04</v>
      </c>
      <c r="R5" s="45">
        <v>100</v>
      </c>
      <c r="S5" s="43">
        <f t="shared" si="8"/>
        <v>85.04</v>
      </c>
      <c r="T5" s="43">
        <f t="shared" si="9"/>
        <v>106.30000000000001</v>
      </c>
      <c r="U5" s="46">
        <f t="shared" si="10"/>
        <v>53.150000000000006</v>
      </c>
      <c r="V5" s="45">
        <v>870</v>
      </c>
      <c r="W5" s="46">
        <f t="shared" si="11"/>
        <v>127.56</v>
      </c>
      <c r="X5" s="39" t="s">
        <v>3</v>
      </c>
      <c r="Y5" s="33">
        <v>5</v>
      </c>
      <c r="Z5" s="33">
        <v>140</v>
      </c>
      <c r="AC5" s="33">
        <v>2</v>
      </c>
      <c r="AE5" s="57">
        <v>31.77</v>
      </c>
    </row>
    <row r="6" spans="1:31">
      <c r="A6" s="39">
        <v>3</v>
      </c>
      <c r="B6" s="39">
        <v>1066</v>
      </c>
      <c r="C6" s="40">
        <f>(B6*16%)</f>
        <v>170.56</v>
      </c>
      <c r="D6" s="40">
        <v>0</v>
      </c>
      <c r="E6" s="40">
        <v>0</v>
      </c>
      <c r="F6" s="40">
        <v>0</v>
      </c>
      <c r="G6" s="39">
        <v>120</v>
      </c>
      <c r="H6" s="40">
        <f>(B6*6%)</f>
        <v>63.96</v>
      </c>
      <c r="I6" s="41">
        <f t="shared" si="0"/>
        <v>123.2</v>
      </c>
      <c r="J6" s="41">
        <f t="shared" si="1"/>
        <v>61.6</v>
      </c>
      <c r="K6" s="42">
        <f t="shared" si="2"/>
        <v>92.399999999999991</v>
      </c>
      <c r="L6" s="43">
        <f t="shared" si="3"/>
        <v>123.2</v>
      </c>
      <c r="M6" s="43">
        <f t="shared" si="4"/>
        <v>184.79999999999998</v>
      </c>
      <c r="N6" s="43">
        <f t="shared" si="5"/>
        <v>69.599999999999994</v>
      </c>
      <c r="O6" s="44">
        <f t="shared" si="6"/>
        <v>147.84</v>
      </c>
      <c r="P6" s="44">
        <f t="shared" si="6"/>
        <v>147.84</v>
      </c>
      <c r="Q6" s="43">
        <f t="shared" si="7"/>
        <v>85.28</v>
      </c>
      <c r="R6" s="45">
        <v>100</v>
      </c>
      <c r="S6" s="43">
        <f t="shared" si="8"/>
        <v>85.28</v>
      </c>
      <c r="T6" s="43">
        <f t="shared" si="9"/>
        <v>106.60000000000001</v>
      </c>
      <c r="U6" s="46">
        <f t="shared" si="10"/>
        <v>53.300000000000004</v>
      </c>
      <c r="V6" s="45">
        <v>870</v>
      </c>
      <c r="W6" s="46">
        <f t="shared" si="11"/>
        <v>127.92</v>
      </c>
      <c r="X6" s="39" t="s">
        <v>2</v>
      </c>
      <c r="Y6" s="33">
        <v>4</v>
      </c>
      <c r="Z6" s="33">
        <v>140</v>
      </c>
      <c r="AC6" s="33">
        <v>3</v>
      </c>
      <c r="AE6" s="57">
        <v>55.807499999999997</v>
      </c>
    </row>
    <row r="7" spans="1:31">
      <c r="A7" s="39">
        <v>4</v>
      </c>
      <c r="B7" s="39">
        <v>1069</v>
      </c>
      <c r="C7" s="40">
        <f>(B7*16%)</f>
        <v>171.04</v>
      </c>
      <c r="D7" s="41">
        <f>(B7*25%)</f>
        <v>267.25</v>
      </c>
      <c r="E7" s="40">
        <v>0</v>
      </c>
      <c r="F7" s="40">
        <v>0</v>
      </c>
      <c r="G7" s="39">
        <v>140</v>
      </c>
      <c r="H7" s="40">
        <f>(B7*8.75%)</f>
        <v>93.537499999999994</v>
      </c>
      <c r="I7" s="41">
        <f t="shared" si="0"/>
        <v>123.2</v>
      </c>
      <c r="J7" s="41">
        <f t="shared" si="1"/>
        <v>61.6</v>
      </c>
      <c r="K7" s="42">
        <f t="shared" si="2"/>
        <v>92.399999999999991</v>
      </c>
      <c r="L7" s="43">
        <f t="shared" si="3"/>
        <v>123.2</v>
      </c>
      <c r="M7" s="43">
        <f t="shared" si="4"/>
        <v>184.79999999999998</v>
      </c>
      <c r="N7" s="43">
        <f t="shared" si="5"/>
        <v>69.599999999999994</v>
      </c>
      <c r="O7" s="44">
        <f t="shared" si="6"/>
        <v>147.84</v>
      </c>
      <c r="P7" s="44">
        <f t="shared" si="6"/>
        <v>147.84</v>
      </c>
      <c r="Q7" s="43">
        <f t="shared" si="7"/>
        <v>85.52</v>
      </c>
      <c r="R7" s="45">
        <v>100</v>
      </c>
      <c r="S7" s="43">
        <f t="shared" si="8"/>
        <v>85.52</v>
      </c>
      <c r="T7" s="43">
        <f t="shared" si="9"/>
        <v>106.9</v>
      </c>
      <c r="U7" s="46">
        <f t="shared" si="10"/>
        <v>53.45</v>
      </c>
      <c r="V7" s="45">
        <v>870</v>
      </c>
      <c r="W7" s="46">
        <f t="shared" si="11"/>
        <v>128.28</v>
      </c>
      <c r="X7" s="39" t="s">
        <v>1</v>
      </c>
      <c r="Y7" s="33">
        <v>3</v>
      </c>
      <c r="Z7" s="33">
        <v>120</v>
      </c>
      <c r="AC7" s="33">
        <v>4</v>
      </c>
      <c r="AE7" s="57">
        <v>63.96</v>
      </c>
    </row>
    <row r="8" spans="1:31">
      <c r="A8" s="39">
        <v>5</v>
      </c>
      <c r="B8" s="39">
        <v>1072</v>
      </c>
      <c r="C8" s="40">
        <f t="shared" ref="C8:C10" si="12">(B8*16%)</f>
        <v>171.52</v>
      </c>
      <c r="D8" s="41">
        <f t="shared" ref="D8:D10" si="13">(B8*25%)</f>
        <v>268</v>
      </c>
      <c r="E8" s="40">
        <v>0</v>
      </c>
      <c r="F8" s="40">
        <v>0</v>
      </c>
      <c r="G8" s="39">
        <v>140</v>
      </c>
      <c r="H8" s="40">
        <f>(B8*10.5%)</f>
        <v>112.56</v>
      </c>
      <c r="I8" s="41">
        <f t="shared" si="0"/>
        <v>123.2</v>
      </c>
      <c r="J8" s="41">
        <f t="shared" si="1"/>
        <v>61.6</v>
      </c>
      <c r="K8" s="42">
        <f t="shared" si="2"/>
        <v>92.399999999999991</v>
      </c>
      <c r="L8" s="43">
        <f t="shared" si="3"/>
        <v>123.2</v>
      </c>
      <c r="M8" s="43">
        <f t="shared" si="4"/>
        <v>184.79999999999998</v>
      </c>
      <c r="N8" s="43">
        <f t="shared" si="5"/>
        <v>69.599999999999994</v>
      </c>
      <c r="O8" s="44">
        <f t="shared" si="6"/>
        <v>147.84</v>
      </c>
      <c r="P8" s="44">
        <f t="shared" si="6"/>
        <v>147.84</v>
      </c>
      <c r="Q8" s="43">
        <f t="shared" si="7"/>
        <v>85.76</v>
      </c>
      <c r="R8" s="45">
        <v>100</v>
      </c>
      <c r="S8" s="43">
        <f t="shared" si="8"/>
        <v>85.76</v>
      </c>
      <c r="T8" s="43">
        <f t="shared" si="9"/>
        <v>107.2</v>
      </c>
      <c r="U8" s="46">
        <f t="shared" si="10"/>
        <v>53.6</v>
      </c>
      <c r="V8" s="45">
        <v>870</v>
      </c>
      <c r="W8" s="46">
        <f t="shared" si="11"/>
        <v>128.63999999999999</v>
      </c>
      <c r="AC8" s="33">
        <v>5</v>
      </c>
      <c r="AE8" s="57">
        <v>93.537499999999994</v>
      </c>
    </row>
    <row r="9" spans="1:31">
      <c r="A9" s="39">
        <v>6</v>
      </c>
      <c r="B9" s="39">
        <v>1075</v>
      </c>
      <c r="C9" s="40">
        <f t="shared" si="12"/>
        <v>172</v>
      </c>
      <c r="D9" s="41">
        <f t="shared" si="13"/>
        <v>268.75</v>
      </c>
      <c r="E9" s="40">
        <f>(B9*35%)</f>
        <v>376.25</v>
      </c>
      <c r="F9" s="40">
        <v>0</v>
      </c>
      <c r="G9" s="39">
        <v>160</v>
      </c>
      <c r="H9" s="40">
        <f>(B9*12.25%)</f>
        <v>131.6875</v>
      </c>
      <c r="I9" s="41">
        <f t="shared" si="0"/>
        <v>123.2</v>
      </c>
      <c r="J9" s="41">
        <f t="shared" si="1"/>
        <v>61.6</v>
      </c>
      <c r="K9" s="42">
        <f t="shared" si="2"/>
        <v>92.399999999999991</v>
      </c>
      <c r="L9" s="43">
        <f t="shared" si="3"/>
        <v>123.2</v>
      </c>
      <c r="M9" s="43">
        <f t="shared" si="4"/>
        <v>184.79999999999998</v>
      </c>
      <c r="N9" s="43">
        <f t="shared" si="5"/>
        <v>69.599999999999994</v>
      </c>
      <c r="O9" s="44">
        <f t="shared" si="6"/>
        <v>147.84</v>
      </c>
      <c r="P9" s="44">
        <f t="shared" si="6"/>
        <v>147.84</v>
      </c>
      <c r="Q9" s="43">
        <f t="shared" si="7"/>
        <v>86</v>
      </c>
      <c r="R9" s="45">
        <v>100</v>
      </c>
      <c r="S9" s="43">
        <f t="shared" si="8"/>
        <v>86</v>
      </c>
      <c r="T9" s="43">
        <f t="shared" si="9"/>
        <v>107.5</v>
      </c>
      <c r="U9" s="46">
        <f t="shared" si="10"/>
        <v>53.75</v>
      </c>
      <c r="V9" s="45">
        <v>870</v>
      </c>
      <c r="W9" s="46">
        <f t="shared" si="11"/>
        <v>129</v>
      </c>
      <c r="AC9" s="33">
        <v>6</v>
      </c>
      <c r="AE9" s="57">
        <v>112.56</v>
      </c>
    </row>
    <row r="10" spans="1:31">
      <c r="A10" s="39">
        <v>7</v>
      </c>
      <c r="B10" s="39">
        <v>1078</v>
      </c>
      <c r="C10" s="40">
        <f t="shared" si="12"/>
        <v>172.48</v>
      </c>
      <c r="D10" s="41">
        <f t="shared" si="13"/>
        <v>269.5</v>
      </c>
      <c r="E10" s="40">
        <f t="shared" ref="E10" si="14">(B10*35%)</f>
        <v>377.29999999999995</v>
      </c>
      <c r="F10" s="40">
        <f>(B10*40%)</f>
        <v>431.20000000000005</v>
      </c>
      <c r="G10" s="39">
        <v>160</v>
      </c>
      <c r="H10" s="40">
        <f>(B10*14%)</f>
        <v>150.92000000000002</v>
      </c>
      <c r="I10" s="41">
        <f t="shared" si="0"/>
        <v>123.2</v>
      </c>
      <c r="J10" s="41">
        <f t="shared" si="1"/>
        <v>61.6</v>
      </c>
      <c r="K10" s="42">
        <f t="shared" si="2"/>
        <v>92.399999999999991</v>
      </c>
      <c r="L10" s="43">
        <f t="shared" si="3"/>
        <v>123.2</v>
      </c>
      <c r="M10" s="43">
        <f t="shared" si="4"/>
        <v>184.79999999999998</v>
      </c>
      <c r="N10" s="43">
        <f t="shared" si="5"/>
        <v>69.599999999999994</v>
      </c>
      <c r="O10" s="44">
        <f t="shared" si="6"/>
        <v>147.84</v>
      </c>
      <c r="P10" s="44">
        <f t="shared" si="6"/>
        <v>147.84</v>
      </c>
      <c r="Q10" s="43">
        <f t="shared" si="7"/>
        <v>86.24</v>
      </c>
      <c r="R10" s="45">
        <v>100</v>
      </c>
      <c r="S10" s="43">
        <f t="shared" si="8"/>
        <v>86.24</v>
      </c>
      <c r="T10" s="43">
        <f t="shared" si="9"/>
        <v>107.80000000000001</v>
      </c>
      <c r="U10" s="46">
        <f t="shared" si="10"/>
        <v>53.900000000000006</v>
      </c>
      <c r="V10" s="45">
        <v>870</v>
      </c>
      <c r="W10" s="46">
        <f t="shared" si="11"/>
        <v>129.35999999999999</v>
      </c>
      <c r="AC10" s="33">
        <v>7</v>
      </c>
      <c r="AE10" s="57">
        <v>131.6875</v>
      </c>
    </row>
    <row r="11" spans="1:31">
      <c r="A11" s="39"/>
      <c r="B11" s="39"/>
      <c r="C11" s="40"/>
      <c r="D11" s="41"/>
      <c r="E11" s="40"/>
      <c r="F11" s="39"/>
      <c r="G11" s="39"/>
      <c r="H11" s="40">
        <f>(B8*15.75%)</f>
        <v>168.84</v>
      </c>
      <c r="I11" s="41">
        <f t="shared" si="0"/>
        <v>123.2</v>
      </c>
      <c r="J11" s="41">
        <f t="shared" si="1"/>
        <v>61.6</v>
      </c>
      <c r="K11" s="42">
        <f t="shared" si="2"/>
        <v>92.399999999999991</v>
      </c>
      <c r="L11" s="43">
        <f t="shared" si="3"/>
        <v>123.2</v>
      </c>
      <c r="M11" s="43">
        <f t="shared" si="4"/>
        <v>184.79999999999998</v>
      </c>
      <c r="N11" s="43">
        <f t="shared" si="5"/>
        <v>69.599999999999994</v>
      </c>
      <c r="O11" s="44">
        <f t="shared" si="6"/>
        <v>147.84</v>
      </c>
      <c r="P11" s="44">
        <f t="shared" si="6"/>
        <v>147.84</v>
      </c>
      <c r="Q11" s="43">
        <f t="shared" si="7"/>
        <v>0</v>
      </c>
      <c r="R11" s="45">
        <v>100</v>
      </c>
      <c r="S11" s="43">
        <f>(B8*8%)</f>
        <v>85.76</v>
      </c>
      <c r="T11" s="43">
        <f>(B8*10%)</f>
        <v>107.2</v>
      </c>
      <c r="U11" s="46">
        <f t="shared" si="10"/>
        <v>0</v>
      </c>
      <c r="V11" s="45">
        <v>870</v>
      </c>
      <c r="W11" s="46">
        <f t="shared" si="11"/>
        <v>0</v>
      </c>
      <c r="AC11" s="33">
        <v>8</v>
      </c>
      <c r="AE11" s="57">
        <v>150.92000000000002</v>
      </c>
    </row>
    <row r="12" spans="1:31">
      <c r="A12" s="39"/>
      <c r="B12" s="39"/>
      <c r="C12" s="40"/>
      <c r="D12" s="41"/>
      <c r="E12" s="40"/>
      <c r="F12" s="39"/>
      <c r="G12" s="39"/>
      <c r="H12" s="40">
        <f>(B8*17.5%)</f>
        <v>187.6</v>
      </c>
      <c r="I12" s="41">
        <f t="shared" si="0"/>
        <v>123.2</v>
      </c>
      <c r="J12" s="41">
        <f t="shared" si="1"/>
        <v>61.6</v>
      </c>
      <c r="K12" s="42">
        <f t="shared" si="2"/>
        <v>92.399999999999991</v>
      </c>
      <c r="L12" s="43">
        <f t="shared" si="3"/>
        <v>123.2</v>
      </c>
      <c r="M12" s="43">
        <f t="shared" si="4"/>
        <v>184.79999999999998</v>
      </c>
      <c r="N12" s="43">
        <f t="shared" si="5"/>
        <v>69.599999999999994</v>
      </c>
      <c r="O12" s="44">
        <f t="shared" si="6"/>
        <v>147.84</v>
      </c>
      <c r="P12" s="44">
        <f t="shared" si="6"/>
        <v>147.84</v>
      </c>
      <c r="Q12" s="43">
        <f t="shared" si="7"/>
        <v>0</v>
      </c>
      <c r="R12" s="45">
        <v>100</v>
      </c>
      <c r="S12" s="43">
        <f>(B8*8%)</f>
        <v>85.76</v>
      </c>
      <c r="T12" s="43">
        <f t="shared" si="9"/>
        <v>0</v>
      </c>
      <c r="U12" s="46">
        <f t="shared" si="10"/>
        <v>0</v>
      </c>
      <c r="V12" s="45">
        <v>870</v>
      </c>
      <c r="W12" s="46">
        <f t="shared" si="11"/>
        <v>0</v>
      </c>
      <c r="AC12" s="33">
        <v>9</v>
      </c>
      <c r="AE12" s="57">
        <v>168.84</v>
      </c>
    </row>
    <row r="13" spans="1:31">
      <c r="A13" s="39"/>
      <c r="B13" s="39"/>
      <c r="C13" s="40"/>
      <c r="D13" s="41"/>
      <c r="E13" s="40"/>
      <c r="F13" s="39"/>
      <c r="G13" s="39"/>
      <c r="H13" s="40">
        <f>(B8*19.25%)</f>
        <v>206.36</v>
      </c>
      <c r="I13" s="41">
        <f t="shared" si="0"/>
        <v>123.2</v>
      </c>
      <c r="J13" s="41">
        <f t="shared" si="1"/>
        <v>61.6</v>
      </c>
      <c r="K13" s="42">
        <f t="shared" si="2"/>
        <v>92.399999999999991</v>
      </c>
      <c r="L13" s="43">
        <f t="shared" si="3"/>
        <v>123.2</v>
      </c>
      <c r="M13" s="43">
        <f t="shared" si="4"/>
        <v>184.79999999999998</v>
      </c>
      <c r="N13" s="43">
        <f t="shared" si="5"/>
        <v>69.599999999999994</v>
      </c>
      <c r="O13" s="44">
        <f t="shared" si="6"/>
        <v>147.84</v>
      </c>
      <c r="P13" s="44">
        <f t="shared" si="6"/>
        <v>147.84</v>
      </c>
      <c r="Q13" s="43">
        <f t="shared" si="7"/>
        <v>0</v>
      </c>
      <c r="R13" s="45">
        <v>100</v>
      </c>
      <c r="S13" s="43">
        <f>(B8*8%)</f>
        <v>85.76</v>
      </c>
      <c r="T13" s="43">
        <f t="shared" si="9"/>
        <v>0</v>
      </c>
      <c r="U13" s="46">
        <f t="shared" si="10"/>
        <v>0</v>
      </c>
      <c r="V13" s="45">
        <v>870</v>
      </c>
      <c r="W13" s="46">
        <f t="shared" si="11"/>
        <v>0</v>
      </c>
      <c r="AC13" s="33">
        <v>10</v>
      </c>
      <c r="AE13" s="57">
        <v>187.6</v>
      </c>
    </row>
    <row r="14" spans="1:31">
      <c r="A14" s="39"/>
      <c r="B14" s="39"/>
      <c r="C14" s="39"/>
      <c r="D14" s="39"/>
      <c r="E14" s="39"/>
      <c r="F14" s="39"/>
      <c r="G14" s="39"/>
      <c r="I14" s="39"/>
      <c r="J14" s="39"/>
      <c r="AC14" s="33">
        <v>11</v>
      </c>
      <c r="AE14" s="57">
        <v>206.36</v>
      </c>
    </row>
    <row r="15" spans="1:31" ht="45" customHeight="1">
      <c r="A15" s="39"/>
      <c r="B15" s="39"/>
      <c r="C15" s="34" t="s">
        <v>32</v>
      </c>
      <c r="D15" s="34" t="s">
        <v>33</v>
      </c>
      <c r="E15" s="34" t="s">
        <v>42</v>
      </c>
      <c r="F15" s="34" t="s">
        <v>41</v>
      </c>
      <c r="G15" s="34" t="s">
        <v>49</v>
      </c>
      <c r="H15" s="34" t="s">
        <v>34</v>
      </c>
      <c r="I15" s="47" t="s">
        <v>35</v>
      </c>
      <c r="J15" s="47" t="s">
        <v>36</v>
      </c>
      <c r="K15" s="48" t="s">
        <v>37</v>
      </c>
      <c r="L15" s="49" t="s">
        <v>35</v>
      </c>
      <c r="M15" s="49" t="s">
        <v>38</v>
      </c>
      <c r="N15" s="49" t="s">
        <v>39</v>
      </c>
      <c r="O15" s="50" t="s">
        <v>40</v>
      </c>
      <c r="P15" s="50" t="s">
        <v>40</v>
      </c>
      <c r="Q15" s="49" t="s">
        <v>26</v>
      </c>
      <c r="R15" s="51">
        <v>100</v>
      </c>
      <c r="S15" s="50" t="s">
        <v>26</v>
      </c>
      <c r="T15" s="50" t="s">
        <v>27</v>
      </c>
      <c r="U15" s="50" t="s">
        <v>28</v>
      </c>
      <c r="V15" s="51">
        <v>870</v>
      </c>
      <c r="W15" s="49" t="s">
        <v>29</v>
      </c>
    </row>
    <row r="16" spans="1:31">
      <c r="A16" s="61" t="s">
        <v>30</v>
      </c>
      <c r="B16" s="61"/>
      <c r="C16" s="61"/>
      <c r="D16" s="61"/>
      <c r="E16" s="61"/>
      <c r="F16" s="61"/>
      <c r="G16" s="61"/>
      <c r="H16" s="61"/>
      <c r="I16" s="61"/>
      <c r="J16" s="61"/>
    </row>
    <row r="17" spans="1:23">
      <c r="A17" s="61"/>
      <c r="B17" s="61"/>
      <c r="C17" s="61"/>
      <c r="D17" s="61"/>
      <c r="E17" s="61"/>
      <c r="F17" s="61"/>
      <c r="G17" s="61"/>
      <c r="H17" s="61"/>
      <c r="I17" s="61"/>
      <c r="J17" s="61"/>
      <c r="M17" s="58" t="s">
        <v>53</v>
      </c>
      <c r="N17" s="58"/>
      <c r="S17" s="58" t="s">
        <v>46</v>
      </c>
      <c r="T17" s="58"/>
      <c r="W17" s="58" t="s">
        <v>44</v>
      </c>
    </row>
    <row r="18" spans="1:23">
      <c r="A18" s="61"/>
      <c r="B18" s="61"/>
      <c r="C18" s="61"/>
      <c r="D18" s="61"/>
      <c r="E18" s="61"/>
      <c r="F18" s="61"/>
      <c r="G18" s="61"/>
      <c r="H18" s="61"/>
      <c r="I18" s="61"/>
      <c r="J18" s="61"/>
      <c r="M18" s="58"/>
      <c r="N18" s="58"/>
      <c r="S18" s="58"/>
      <c r="T18" s="58"/>
      <c r="W18" s="58"/>
    </row>
    <row r="19" spans="1:23">
      <c r="A19" s="61"/>
      <c r="B19" s="61"/>
      <c r="C19" s="61"/>
      <c r="D19" s="61"/>
      <c r="E19" s="61"/>
      <c r="F19" s="61"/>
      <c r="G19" s="61"/>
      <c r="H19" s="61"/>
      <c r="I19" s="61"/>
      <c r="J19" s="61"/>
      <c r="M19" s="58"/>
      <c r="N19" s="58"/>
      <c r="S19" s="58"/>
      <c r="T19" s="58"/>
      <c r="W19" s="60"/>
    </row>
    <row r="20" spans="1:23">
      <c r="A20" s="61"/>
      <c r="B20" s="61"/>
      <c r="C20" s="61"/>
      <c r="D20" s="61"/>
      <c r="E20" s="61"/>
      <c r="F20" s="61"/>
      <c r="G20" s="61"/>
      <c r="H20" s="61"/>
      <c r="I20" s="61"/>
      <c r="J20" s="61"/>
      <c r="M20" s="58"/>
      <c r="N20" s="58"/>
      <c r="S20" s="58"/>
      <c r="T20" s="58"/>
      <c r="W20" s="60"/>
    </row>
    <row r="21" spans="1:23">
      <c r="A21" s="59" t="s">
        <v>22</v>
      </c>
      <c r="B21" s="59"/>
      <c r="C21" s="59"/>
      <c r="D21" s="59"/>
      <c r="E21" s="59"/>
      <c r="F21" s="59"/>
      <c r="G21" s="59"/>
      <c r="H21" s="59"/>
      <c r="I21" s="59"/>
      <c r="J21" s="59"/>
      <c r="M21" s="58"/>
      <c r="N21" s="58"/>
    </row>
    <row r="22" spans="1:23">
      <c r="A22" s="61" t="s">
        <v>21</v>
      </c>
      <c r="B22" s="61"/>
      <c r="C22" s="61"/>
      <c r="D22" s="61"/>
      <c r="E22" s="61"/>
      <c r="F22" s="61"/>
      <c r="G22" s="61"/>
      <c r="H22" s="61"/>
      <c r="I22" s="61"/>
      <c r="J22" s="34"/>
      <c r="M22" s="58"/>
      <c r="N22" s="58"/>
      <c r="T22" s="58" t="s">
        <v>48</v>
      </c>
    </row>
    <row r="23" spans="1:23">
      <c r="A23" s="63" t="s">
        <v>18</v>
      </c>
      <c r="B23" s="63"/>
      <c r="C23" s="63"/>
      <c r="D23" s="63"/>
      <c r="E23" s="63"/>
      <c r="F23" s="34"/>
      <c r="G23" s="34"/>
      <c r="H23" s="34"/>
      <c r="I23" s="34"/>
      <c r="J23" s="34"/>
      <c r="M23" s="58"/>
      <c r="N23" s="58"/>
      <c r="T23" s="58"/>
    </row>
    <row r="24" spans="1:23">
      <c r="A24" s="59" t="s">
        <v>20</v>
      </c>
      <c r="B24" s="59"/>
      <c r="C24" s="59"/>
      <c r="D24" s="59"/>
      <c r="E24" s="59"/>
      <c r="F24" s="59"/>
      <c r="G24" s="59"/>
      <c r="H24" s="59"/>
      <c r="I24" s="59"/>
      <c r="J24" s="59"/>
      <c r="M24" s="58"/>
      <c r="N24" s="58"/>
      <c r="T24" s="58"/>
    </row>
    <row r="25" spans="1:23">
      <c r="A25" s="59" t="s">
        <v>31</v>
      </c>
      <c r="B25" s="59"/>
      <c r="C25" s="59"/>
      <c r="D25" s="59"/>
      <c r="E25" s="59"/>
      <c r="F25" s="59"/>
      <c r="G25" s="59"/>
      <c r="H25" s="59"/>
      <c r="I25" s="59"/>
      <c r="J25" s="59"/>
      <c r="M25" s="58"/>
      <c r="N25" s="58"/>
      <c r="T25" s="58"/>
    </row>
    <row r="26" spans="1:23">
      <c r="A26" s="59" t="s">
        <v>19</v>
      </c>
      <c r="B26" s="59"/>
      <c r="C26" s="59"/>
      <c r="D26" s="59"/>
      <c r="E26" s="59"/>
      <c r="F26" s="59"/>
      <c r="G26" s="59"/>
      <c r="H26" s="59"/>
      <c r="I26" s="59"/>
      <c r="J26" s="59"/>
      <c r="M26" s="33" t="s">
        <v>50</v>
      </c>
      <c r="T26" s="58"/>
    </row>
    <row r="27" spans="1:23">
      <c r="A27" s="62" t="s">
        <v>23</v>
      </c>
      <c r="B27" s="62"/>
      <c r="C27" s="62"/>
      <c r="D27" s="62"/>
      <c r="E27" s="62"/>
      <c r="F27" s="62"/>
      <c r="G27" s="62"/>
      <c r="H27" s="62"/>
      <c r="I27" s="62"/>
      <c r="J27" s="62"/>
      <c r="M27" s="33" t="s">
        <v>51</v>
      </c>
      <c r="T27" s="58"/>
    </row>
    <row r="28" spans="1:23">
      <c r="A28" s="39"/>
      <c r="B28" s="39"/>
      <c r="C28" s="39"/>
      <c r="D28" s="39"/>
      <c r="E28" s="39"/>
      <c r="F28" s="39"/>
      <c r="G28" s="39"/>
      <c r="H28" s="39"/>
      <c r="I28" s="39"/>
      <c r="J28" s="39"/>
      <c r="M28" s="33" t="s">
        <v>52</v>
      </c>
    </row>
    <row r="29" spans="1:23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23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23">
      <c r="A31" s="39"/>
      <c r="B31" s="39"/>
      <c r="C31" s="39"/>
      <c r="D31" s="39"/>
      <c r="E31" s="39"/>
      <c r="F31" s="39"/>
      <c r="G31" s="39"/>
      <c r="H31" s="39"/>
      <c r="I31" s="39"/>
      <c r="J31" s="39"/>
    </row>
    <row r="32" spans="1:23">
      <c r="A32" s="39"/>
      <c r="B32" s="39"/>
      <c r="C32" s="39"/>
      <c r="D32" s="39"/>
      <c r="E32" s="39"/>
      <c r="F32" s="39"/>
      <c r="G32" s="39"/>
      <c r="H32" s="39"/>
      <c r="I32" s="39"/>
      <c r="J32" s="39"/>
    </row>
    <row r="33" spans="1:10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0">
      <c r="A34" s="39"/>
      <c r="B34" s="39"/>
      <c r="C34" s="39"/>
      <c r="D34" s="39"/>
      <c r="E34" s="39"/>
      <c r="F34" s="39"/>
      <c r="G34" s="39"/>
      <c r="H34" s="39"/>
      <c r="I34" s="39"/>
      <c r="J34" s="39"/>
    </row>
    <row r="35" spans="1:10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36" spans="1:10" ht="30">
      <c r="A36" s="52" t="s">
        <v>60</v>
      </c>
      <c r="B36" s="53"/>
      <c r="C36" s="52" t="s">
        <v>0</v>
      </c>
      <c r="D36" s="52" t="s">
        <v>56</v>
      </c>
      <c r="E36" s="52"/>
      <c r="F36" s="52"/>
      <c r="G36" s="39"/>
      <c r="H36" s="39"/>
      <c r="I36" s="39"/>
      <c r="J36" s="39"/>
    </row>
    <row r="37" spans="1:10">
      <c r="A37" s="39" t="s">
        <v>72</v>
      </c>
      <c r="B37" s="54"/>
      <c r="C37" s="39">
        <f>IF(B37="ΝΑΙ",A3,0)</f>
        <v>0</v>
      </c>
      <c r="D37" s="39">
        <f>IF(B37="ΝΑΙ",B3,0)</f>
        <v>0</v>
      </c>
      <c r="E37" s="40"/>
      <c r="F37" s="55"/>
      <c r="G37" s="39"/>
      <c r="H37" s="39"/>
      <c r="I37" s="39"/>
      <c r="J37" s="39"/>
    </row>
    <row r="38" spans="1:10">
      <c r="A38" s="39" t="s">
        <v>1</v>
      </c>
      <c r="B38" s="54"/>
      <c r="C38" s="39">
        <f>IF(B38="ΝΑΙ",A6,0)</f>
        <v>0</v>
      </c>
      <c r="D38" s="39">
        <f>IF(B38="ΝΑΙ",B6,0)</f>
        <v>0</v>
      </c>
      <c r="E38" s="40"/>
      <c r="F38" s="55"/>
      <c r="G38" s="39"/>
      <c r="H38" s="39"/>
      <c r="I38" s="39"/>
      <c r="J38" s="39"/>
    </row>
    <row r="39" spans="1:10">
      <c r="A39" s="39" t="s">
        <v>2</v>
      </c>
      <c r="B39" s="54"/>
      <c r="C39" s="39">
        <f>IF(B39="ΝΑΙ",A7,0)</f>
        <v>0</v>
      </c>
      <c r="D39" s="39">
        <f>IF(B39="ΝΑΙ",B7,0)</f>
        <v>0</v>
      </c>
      <c r="E39" s="40"/>
      <c r="F39" s="55"/>
      <c r="G39" s="39"/>
      <c r="H39" s="39"/>
      <c r="I39" s="39"/>
      <c r="J39" s="39"/>
    </row>
    <row r="40" spans="1:10">
      <c r="A40" s="39" t="s">
        <v>3</v>
      </c>
      <c r="B40" s="54" t="s">
        <v>55</v>
      </c>
      <c r="C40" s="39">
        <f>IF(B40="ΝΑΙ",A9,0)</f>
        <v>6</v>
      </c>
      <c r="D40" s="39">
        <f>IF(B40="ΝΑΙ",B9,0)</f>
        <v>1075</v>
      </c>
      <c r="E40" s="40"/>
      <c r="F40" s="55"/>
      <c r="G40" s="39"/>
      <c r="H40" s="39"/>
      <c r="I40" s="39"/>
      <c r="J40" s="39"/>
    </row>
    <row r="41" spans="1:10">
      <c r="A41" s="39" t="s">
        <v>25</v>
      </c>
      <c r="B41" s="54"/>
      <c r="C41" s="39">
        <f>IF(B41="ΝΑΙ",A10,0)</f>
        <v>0</v>
      </c>
      <c r="D41" s="39">
        <f>IF(B41="ΝΑΙ",B10,0)</f>
        <v>0</v>
      </c>
      <c r="E41" s="40"/>
      <c r="F41" s="55"/>
      <c r="G41" s="39"/>
      <c r="H41" s="39"/>
      <c r="I41" s="39"/>
      <c r="J41" s="39"/>
    </row>
    <row r="42" spans="1:10">
      <c r="A42" s="39"/>
      <c r="B42" s="39"/>
      <c r="C42" s="39"/>
      <c r="D42" s="39"/>
      <c r="E42" s="40"/>
      <c r="F42" s="55"/>
      <c r="G42" s="39"/>
      <c r="H42" s="39"/>
      <c r="I42" s="39"/>
      <c r="J42" s="39"/>
    </row>
    <row r="43" spans="1:10">
      <c r="A43" s="39"/>
      <c r="B43" s="39"/>
      <c r="C43" s="39"/>
      <c r="D43" s="39"/>
      <c r="E43" s="39"/>
      <c r="F43" s="55"/>
      <c r="G43" s="39"/>
      <c r="H43" s="39"/>
      <c r="I43" s="39"/>
      <c r="J43" s="39"/>
    </row>
    <row r="44" spans="1:10">
      <c r="A44" s="39" t="s">
        <v>58</v>
      </c>
      <c r="B44" s="39">
        <f>SUM(C37:C41)</f>
        <v>6</v>
      </c>
      <c r="C44" s="39"/>
      <c r="D44" s="39"/>
      <c r="E44" s="39"/>
      <c r="F44" s="55"/>
      <c r="G44" s="39"/>
      <c r="H44" s="39"/>
      <c r="I44" s="39"/>
      <c r="J44" s="39"/>
    </row>
  </sheetData>
  <sheetProtection algorithmName="SHA-512" hashValue="G5Gfw6DTAYFXD9bHGHlxD6cy+qTXs8QRcM79WqzFQTRgBiddvhoC1IeUL6QJ02+5Jt6mW/nnd7Lq6W2QuqeYTA==" saltValue="vmT3QPD8leARvhwtCNwGKw==" spinCount="100000" sheet="1" objects="1" scenarios="1" selectLockedCells="1" selectUnlockedCells="1"/>
  <sortState ref="X3:Z7">
    <sortCondition ref="X3"/>
  </sortState>
  <mergeCells count="12">
    <mergeCell ref="M17:N25"/>
    <mergeCell ref="A21:J21"/>
    <mergeCell ref="W17:W20"/>
    <mergeCell ref="S17:T20"/>
    <mergeCell ref="T22:T27"/>
    <mergeCell ref="A16:J20"/>
    <mergeCell ref="A24:J24"/>
    <mergeCell ref="A25:J25"/>
    <mergeCell ref="A26:J26"/>
    <mergeCell ref="A27:J27"/>
    <mergeCell ref="A23:E23"/>
    <mergeCell ref="A22:I22"/>
  </mergeCells>
  <dataValidations count="1">
    <dataValidation type="list" allowBlank="1" showInputMessage="1" showErrorMessage="1" sqref="B37:B41">
      <formula1>"ΝΑΙ, 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78"/>
  <sheetViews>
    <sheetView tabSelected="1" workbookViewId="0">
      <selection activeCell="E31" sqref="E31"/>
    </sheetView>
  </sheetViews>
  <sheetFormatPr defaultRowHeight="15"/>
  <cols>
    <col min="1" max="1" width="47.42578125" style="1" customWidth="1"/>
    <col min="2" max="2" width="24.140625" style="1" customWidth="1"/>
    <col min="3" max="3" width="9.5703125" style="20" bestFit="1" customWidth="1"/>
    <col min="4" max="4" width="9.140625" style="20"/>
    <col min="5" max="16384" width="9.140625" style="1"/>
  </cols>
  <sheetData>
    <row r="2" spans="1:3">
      <c r="A2" s="1" t="s">
        <v>66</v>
      </c>
      <c r="B2" s="2" t="s">
        <v>72</v>
      </c>
    </row>
    <row r="3" spans="1:3">
      <c r="C3" s="21"/>
    </row>
    <row r="4" spans="1:3">
      <c r="A4" s="3" t="s">
        <v>58</v>
      </c>
      <c r="B4" s="20">
        <f>IF(B2="Απολυτήριο Λυκείου",1,IF(B2="Πτυχίο ΤΕΙ",3,IF(B2="Πτυχίο ΑΕΙ",4)))</f>
        <v>1</v>
      </c>
      <c r="C4" s="21"/>
    </row>
    <row r="5" spans="1:3">
      <c r="A5" s="3"/>
      <c r="C5" s="21"/>
    </row>
    <row r="6" spans="1:3">
      <c r="A6" s="4" t="s">
        <v>63</v>
      </c>
      <c r="C6" s="21"/>
    </row>
    <row r="7" spans="1:3">
      <c r="A7" s="3" t="s">
        <v>3</v>
      </c>
      <c r="B7" s="5"/>
    </row>
    <row r="8" spans="1:3">
      <c r="A8" s="3" t="s">
        <v>25</v>
      </c>
      <c r="B8" s="5"/>
    </row>
    <row r="11" spans="1:3">
      <c r="A11" s="6" t="s">
        <v>65</v>
      </c>
      <c r="B11" s="30">
        <f>IF(B8="ΝΑΙ",7,IF(B7="ΝΑΙ",B4+2,B4))</f>
        <v>1</v>
      </c>
    </row>
    <row r="14" spans="1:3">
      <c r="A14" s="1" t="s">
        <v>56</v>
      </c>
      <c r="C14" s="22">
        <f>VLOOKUP(B11,Φύλλο1!A3:W10,2,FALSE)</f>
        <v>1059</v>
      </c>
    </row>
    <row r="16" spans="1:3">
      <c r="A16" s="7" t="s">
        <v>64</v>
      </c>
    </row>
    <row r="17" spans="1:5">
      <c r="A17" s="3" t="s">
        <v>2</v>
      </c>
      <c r="C17" s="23">
        <f>IF(B2="Πτυχίο ΑΕΙ",C14*0.25,0)</f>
        <v>0</v>
      </c>
      <c r="D17" s="28">
        <v>0.25</v>
      </c>
    </row>
    <row r="18" spans="1:5">
      <c r="A18" s="3" t="s">
        <v>1</v>
      </c>
      <c r="C18" s="23">
        <f>IF(B2="Πτυχίο ΤΕΙ",C14*0.16,0)</f>
        <v>0</v>
      </c>
      <c r="D18" s="28">
        <v>0.16</v>
      </c>
    </row>
    <row r="19" spans="1:5">
      <c r="A19" s="3" t="s">
        <v>3</v>
      </c>
      <c r="C19" s="23">
        <f>IF(B7="ΝΑΙ",C14*0.1,0)</f>
        <v>0</v>
      </c>
      <c r="D19" s="28">
        <v>0.1</v>
      </c>
    </row>
    <row r="20" spans="1:5">
      <c r="A20" s="3" t="s">
        <v>25</v>
      </c>
      <c r="C20" s="23">
        <f>IF(B8="ΝΑΙ",C14*0.05,0)</f>
        <v>0</v>
      </c>
      <c r="D20" s="28">
        <v>0.05</v>
      </c>
    </row>
    <row r="21" spans="1:5">
      <c r="C21" s="22">
        <f>SUM(C17:C20)</f>
        <v>0</v>
      </c>
    </row>
    <row r="24" spans="1:5">
      <c r="A24" s="3" t="s">
        <v>57</v>
      </c>
      <c r="C24" s="24">
        <f>VLOOKUP(B2,Φύλλο1!X3:Z7,3,FALSE)</f>
        <v>120</v>
      </c>
    </row>
    <row r="25" spans="1:5">
      <c r="A25" s="3"/>
      <c r="B25" s="9"/>
    </row>
    <row r="26" spans="1:5">
      <c r="A26" s="10" t="s">
        <v>5</v>
      </c>
      <c r="C26" s="24">
        <f>B29*1.75%*C14</f>
        <v>0</v>
      </c>
    </row>
    <row r="27" spans="1:5">
      <c r="A27" s="1" t="s">
        <v>67</v>
      </c>
      <c r="B27" s="11">
        <v>42278</v>
      </c>
    </row>
    <row r="28" spans="1:5">
      <c r="A28" s="1" t="s">
        <v>68</v>
      </c>
      <c r="B28" s="32">
        <v>40953</v>
      </c>
    </row>
    <row r="29" spans="1:5">
      <c r="A29" s="1" t="s">
        <v>69</v>
      </c>
      <c r="B29" s="31">
        <f>IF(B27&gt;B28,0,ROUND((B28-B27)/365,0))</f>
        <v>0</v>
      </c>
      <c r="E29" s="8"/>
    </row>
    <row r="31" spans="1:5">
      <c r="B31" s="12"/>
    </row>
    <row r="32" spans="1:5">
      <c r="A32" s="3" t="s">
        <v>6</v>
      </c>
      <c r="B32" s="5"/>
      <c r="C32" s="25">
        <f>IF(B32="ΝΑΙ",123,0)</f>
        <v>0</v>
      </c>
    </row>
    <row r="33" spans="1:3">
      <c r="A33" s="3" t="s">
        <v>80</v>
      </c>
      <c r="B33" s="5"/>
      <c r="C33" s="25">
        <f>IF(B33="ΝΑΙ",62,0)</f>
        <v>0</v>
      </c>
    </row>
    <row r="34" spans="1:3">
      <c r="A34" s="3" t="s">
        <v>81</v>
      </c>
      <c r="B34" s="5"/>
      <c r="C34" s="25">
        <f>IF(B34="ΝΑΙ",92.4,0)</f>
        <v>0</v>
      </c>
    </row>
    <row r="35" spans="1:3">
      <c r="A35" s="3" t="s">
        <v>82</v>
      </c>
      <c r="B35" s="5"/>
      <c r="C35" s="25">
        <f>IF(B35="ΝΑΙ",123.2,0)</f>
        <v>0</v>
      </c>
    </row>
    <row r="36" spans="1:3">
      <c r="A36" s="3" t="s">
        <v>83</v>
      </c>
      <c r="B36" s="5"/>
      <c r="C36" s="25">
        <f>IF(B36="ΝΑΙ",123,0)</f>
        <v>0</v>
      </c>
    </row>
    <row r="37" spans="1:3">
      <c r="A37" s="10" t="s">
        <v>76</v>
      </c>
      <c r="B37" s="20" t="str">
        <f>_xlfn.IFNA(LOOKUP("ΝΑΙ",B33),"ΌΧΙ")</f>
        <v>ΌΧΙ</v>
      </c>
      <c r="C37" s="25">
        <f>IF(B37="ΝΑΙ",69.6,0)</f>
        <v>0</v>
      </c>
    </row>
    <row r="38" spans="1:3">
      <c r="A38" s="10" t="s">
        <v>77</v>
      </c>
      <c r="B38" s="20" t="str">
        <f>_xlfn.IFNA(LOOKUP("ΝΑΙ",B34),"ΌΧΙ")</f>
        <v>ΌΧΙ</v>
      </c>
      <c r="C38" s="25">
        <f t="shared" ref="C38:C40" si="0">IF(B38="ΝΑΙ",69.6,0)</f>
        <v>0</v>
      </c>
    </row>
    <row r="39" spans="1:3">
      <c r="A39" s="10" t="s">
        <v>78</v>
      </c>
      <c r="B39" s="20" t="str">
        <f>_xlfn.IFNA(LOOKUP("ΝΑΙ",B35),"ΌΧΙ")</f>
        <v>ΌΧΙ</v>
      </c>
      <c r="C39" s="25">
        <f t="shared" si="0"/>
        <v>0</v>
      </c>
    </row>
    <row r="40" spans="1:3">
      <c r="A40" s="10" t="s">
        <v>79</v>
      </c>
      <c r="B40" s="20" t="str">
        <f>_xlfn.IFNA(LOOKUP("ΝΑΙ",B36),"ΌΧΙ")</f>
        <v>ΌΧΙ</v>
      </c>
      <c r="C40" s="25">
        <f t="shared" si="0"/>
        <v>0</v>
      </c>
    </row>
    <row r="41" spans="1:3">
      <c r="A41" s="3" t="s">
        <v>12</v>
      </c>
      <c r="B41" s="5"/>
      <c r="C41" s="25">
        <f>IF(B41="ΝΑΙ",147.84,0)</f>
        <v>0</v>
      </c>
    </row>
    <row r="42" spans="1:3">
      <c r="A42" s="3" t="s">
        <v>13</v>
      </c>
      <c r="B42" s="5"/>
      <c r="C42" s="25">
        <f>IF(B42="ΝΑΙ",147.84,0)</f>
        <v>0</v>
      </c>
    </row>
    <row r="43" spans="1:3">
      <c r="A43" s="3"/>
      <c r="B43" s="3"/>
      <c r="C43" s="22">
        <f>SUM(C32:C42)</f>
        <v>0</v>
      </c>
    </row>
    <row r="45" spans="1:3">
      <c r="A45" s="13" t="s">
        <v>14</v>
      </c>
      <c r="B45" s="14"/>
      <c r="C45" s="26">
        <f>IF(B45="ΝΑΙ",VLOOKUP(B11,Φύλλο1!A3:W10,17,FALSE),0)</f>
        <v>0</v>
      </c>
    </row>
    <row r="46" spans="1:3">
      <c r="A46" s="15" t="s">
        <v>15</v>
      </c>
      <c r="B46" s="14"/>
      <c r="C46" s="25">
        <f>IF(B46="ΝΑΙ",100,0)</f>
        <v>0</v>
      </c>
    </row>
    <row r="47" spans="1:3">
      <c r="A47" s="15"/>
      <c r="B47" s="3"/>
      <c r="C47" s="24">
        <f>SUM(C45:C46)</f>
        <v>0</v>
      </c>
    </row>
    <row r="48" spans="1:3">
      <c r="A48" s="3" t="s">
        <v>59</v>
      </c>
      <c r="B48" s="56" t="str">
        <f>IF(B2="Πτυχίο ΑΕΙ","ΝΑΙ",IF(B2="Πτυχίο ΤΕΙ","ΝΑΙ","ΌΧΙ"))</f>
        <v>ΌΧΙ</v>
      </c>
      <c r="C48" s="26"/>
    </row>
    <row r="49" spans="1:5">
      <c r="A49" s="16" t="s">
        <v>45</v>
      </c>
      <c r="B49" s="14"/>
      <c r="C49" s="26">
        <f>IF(AND(B49="ΝΑΙ",B48="ΌΧΙ"),VLOOKUP(B11,Φύλλο1!A3:W10,19,FALSE),0)</f>
        <v>0</v>
      </c>
      <c r="D49" s="20" t="s">
        <v>70</v>
      </c>
    </row>
    <row r="50" spans="1:5">
      <c r="A50" s="16" t="s">
        <v>94</v>
      </c>
      <c r="B50" s="14"/>
      <c r="C50" s="26">
        <f>IF(AND(B50="ΝΑΙ",B48="ΌΧΙ"),VLOOKUP(B11,Φύλλο1!A3:W10,20,FALSE),0)</f>
        <v>0</v>
      </c>
      <c r="D50" s="20" t="s">
        <v>70</v>
      </c>
    </row>
    <row r="51" spans="1:5" s="17" customFormat="1">
      <c r="A51" s="16"/>
      <c r="B51" s="13"/>
      <c r="C51" s="24">
        <f>SUM(C49:C50)</f>
        <v>0</v>
      </c>
      <c r="D51" s="29"/>
    </row>
    <row r="52" spans="1:5" s="17" customFormat="1">
      <c r="A52" s="16"/>
      <c r="B52" s="13"/>
      <c r="C52" s="26"/>
      <c r="D52" s="29"/>
    </row>
    <row r="53" spans="1:5">
      <c r="A53" s="16" t="s">
        <v>16</v>
      </c>
      <c r="B53" s="5"/>
      <c r="C53" s="26">
        <f>IF(B53="ΝΑΙ",VLOOKUP(B11,Φύλλο1!A3:W10,20,FALSE),0)</f>
        <v>0</v>
      </c>
    </row>
    <row r="54" spans="1:5">
      <c r="A54" s="16" t="s">
        <v>17</v>
      </c>
      <c r="B54" s="5"/>
      <c r="C54" s="26">
        <f>IF(B54="ΝΑΙ",VLOOKUP(B11,Φύλλο1!A3:W10,22,FALSE),0)</f>
        <v>0</v>
      </c>
    </row>
    <row r="55" spans="1:5">
      <c r="A55" s="16" t="s">
        <v>84</v>
      </c>
      <c r="B55" s="5"/>
      <c r="C55" s="26">
        <f>IF(B55="ΝΑΙ",VLOOKUP(B11,Φύλλο1!A3:W10,23,FALSE),0)</f>
        <v>0</v>
      </c>
    </row>
    <row r="56" spans="1:5">
      <c r="A56" s="3"/>
      <c r="B56" s="3"/>
      <c r="C56" s="24">
        <f>SUM(C49:C55)</f>
        <v>0</v>
      </c>
    </row>
    <row r="57" spans="1:5">
      <c r="A57" s="3"/>
      <c r="B57" s="3"/>
      <c r="C57" s="25"/>
    </row>
    <row r="58" spans="1:5">
      <c r="A58" s="6"/>
      <c r="B58" s="18" t="s">
        <v>24</v>
      </c>
      <c r="C58" s="27">
        <f>C56+C51+C47+C43+C26+C24+C21+C14</f>
        <v>1179</v>
      </c>
      <c r="E58" s="8"/>
    </row>
    <row r="59" spans="1:5">
      <c r="A59" s="3"/>
      <c r="B59" s="19"/>
      <c r="C59" s="25"/>
      <c r="E59" s="8"/>
    </row>
    <row r="60" spans="1:5">
      <c r="A60" s="3"/>
      <c r="B60" s="19" t="s">
        <v>73</v>
      </c>
      <c r="C60" s="25">
        <f>(C58/2)/14</f>
        <v>42.107142857142854</v>
      </c>
      <c r="E60" s="8"/>
    </row>
    <row r="61" spans="1:5">
      <c r="A61" s="3"/>
      <c r="B61" s="19"/>
      <c r="C61" s="25"/>
      <c r="E61" s="8"/>
    </row>
    <row r="62" spans="1:5">
      <c r="A62" s="3"/>
      <c r="B62" s="18" t="s">
        <v>74</v>
      </c>
      <c r="C62" s="27">
        <f>C58+C60</f>
        <v>1221.1071428571429</v>
      </c>
      <c r="E62" s="8"/>
    </row>
    <row r="63" spans="1:5">
      <c r="A63" s="3"/>
      <c r="B63" s="19"/>
      <c r="C63" s="25"/>
      <c r="E63" s="8"/>
    </row>
    <row r="64" spans="1:5">
      <c r="A64" s="3"/>
      <c r="B64" s="19" t="s">
        <v>61</v>
      </c>
      <c r="C64" s="25">
        <f>C62*0.35</f>
        <v>427.38749999999999</v>
      </c>
    </row>
    <row r="65" spans="1:3">
      <c r="A65" s="3"/>
      <c r="B65" s="19"/>
      <c r="C65" s="25"/>
    </row>
    <row r="66" spans="1:3">
      <c r="A66" s="3"/>
      <c r="B66" s="18" t="s">
        <v>62</v>
      </c>
      <c r="C66" s="27">
        <f>C58-C64</f>
        <v>751.61249999999995</v>
      </c>
    </row>
    <row r="69" spans="1:3">
      <c r="A69" s="7" t="s">
        <v>75</v>
      </c>
    </row>
    <row r="70" spans="1:3">
      <c r="A70" s="1" t="s">
        <v>85</v>
      </c>
    </row>
    <row r="71" spans="1:3">
      <c r="A71" s="20" t="s">
        <v>86</v>
      </c>
    </row>
    <row r="72" spans="1:3">
      <c r="A72" s="20" t="s">
        <v>87</v>
      </c>
    </row>
    <row r="73" spans="1:3">
      <c r="A73" s="20" t="s">
        <v>88</v>
      </c>
    </row>
    <row r="74" spans="1:3">
      <c r="A74" s="20" t="s">
        <v>89</v>
      </c>
    </row>
    <row r="75" spans="1:3">
      <c r="A75" s="20" t="s">
        <v>90</v>
      </c>
    </row>
    <row r="76" spans="1:3">
      <c r="A76" s="20" t="s">
        <v>91</v>
      </c>
    </row>
    <row r="77" spans="1:3">
      <c r="A77" s="20" t="s">
        <v>92</v>
      </c>
    </row>
    <row r="78" spans="1:3">
      <c r="A78" s="20" t="s">
        <v>93</v>
      </c>
    </row>
  </sheetData>
  <sheetProtection algorithmName="SHA-512" hashValue="Wg1at3QD5VjTZ5iOu7CkNBC93V/qqdoOUCVMBfUVIJweDTasAxjECbvNIGuSiFuCfF9H5LgIbI//K92+cs28oA==" saltValue="XJq3NPFjodVVYE8bBlmr0Q==" spinCount="100000" sheet="1" objects="1" scenarios="1" selectLockedCells="1"/>
  <conditionalFormatting sqref="B37:B40">
    <cfRule type="cellIs" dxfId="0" priority="1" operator="equal">
      <formula>"ΌΧΙ"</formula>
    </cfRule>
  </conditionalFormatting>
  <dataValidations count="1">
    <dataValidation type="list" allowBlank="1" showInputMessage="1" showErrorMessage="1" sqref="B7:B8 B32:B36 B45:B46 B49:B55 B41:B42">
      <formula1>"ΝΑΙ, 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Φύλλο1!$A$37:$A$39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ΣΣΕ</vt:lpstr>
    </vt:vector>
  </TitlesOfParts>
  <Company>Ethniki Asfalistiki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ΠΕΤΣΑΛΑΚΗΣ ΓΙΑΝΝΗΣ</dc:creator>
  <cp:lastModifiedBy>solomou</cp:lastModifiedBy>
  <dcterms:created xsi:type="dcterms:W3CDTF">2023-07-07T03:45:57Z</dcterms:created>
  <dcterms:modified xsi:type="dcterms:W3CDTF">2023-07-13T06:52:24Z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AEEGA\A01397</vt:lpwstr>
  </property>
  <property fmtid="{D5CDD505-2E9C-101B-9397-08002B2CF9AE}" pid="4" name="DLPManualFileClassificationLastModificationDate">
    <vt:lpwstr>1688714622</vt:lpwstr>
  </property>
  <property fmtid="{D5CDD505-2E9C-101B-9397-08002B2CF9AE}" pid="5" name="DLPManualFileClassificationVersion">
    <vt:lpwstr>11.6.500.17</vt:lpwstr>
  </property>
</Properties>
</file>